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545" activeTab="0"/>
  </bookViews>
  <sheets>
    <sheet name="EVALMES" sheetId="1" r:id="rId1"/>
  </sheets>
  <definedNames>
    <definedName name="A_impresión_IM" localSheetId="0">'EVALMES'!$A$1:$AE$34</definedName>
    <definedName name="A_IMPRESIÓN_IM">'EVALMES'!$A$1:$AE$34</definedName>
    <definedName name="_xlnm.Print_Area" localSheetId="0">'EVALMES'!$A$1:$O$33</definedName>
  </definedNames>
  <calcPr fullCalcOnLoad="1"/>
</workbook>
</file>

<file path=xl/sharedStrings.xml><?xml version="1.0" encoding="utf-8"?>
<sst xmlns="http://schemas.openxmlformats.org/spreadsheetml/2006/main" count="119" uniqueCount="57">
  <si>
    <t>EVALUACION HIDRICA A PASO MENSUAL</t>
  </si>
  <si>
    <t>MODULO</t>
  </si>
  <si>
    <t>MES</t>
  </si>
  <si>
    <t>SET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</si>
  <si>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</si>
  <si>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</si>
  <si>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</si>
  <si>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</si>
  <si>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</si>
  <si>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</si>
  <si>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</si>
  <si>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</si>
  <si>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</si>
  <si>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</si>
  <si>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</si>
  <si>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PRECIPITACION [MM]</t>
  </si>
  <si>
    <t>APORTES REC.  [MM]</t>
  </si>
  <si>
    <t>EVAPOTRANSP.  [MM]</t>
  </si>
  <si>
    <t>SIT.</t>
  </si>
  <si>
    <t>RESERVA       [MM]</t>
  </si>
  <si>
    <t>DEFICIT       [MM]</t>
  </si>
  <si>
    <t>NATURAL</t>
  </si>
  <si>
    <t>EXCESO INIC.  [MM]</t>
  </si>
  <si>
    <t>ESCURRIMIENTO [MM]</t>
  </si>
  <si>
    <t>ESCURRIMIENTO[HM3]</t>
  </si>
  <si>
    <t>EXCESO FINAL  [MM]</t>
  </si>
  <si>
    <t>AREA INUND.   [%]</t>
  </si>
  <si>
    <t>RESERVA [MM]</t>
  </si>
  <si>
    <t>DEFICIT [MM]</t>
  </si>
  <si>
    <t>SIT. CON</t>
  </si>
  <si>
    <t>AP.REC.OBRAS [MM]</t>
  </si>
  <si>
    <t>ESC.CON OBRA  [MM]</t>
  </si>
  <si>
    <t>ESC.NATURAL  [MM]</t>
  </si>
  <si>
    <t>OBRAS</t>
  </si>
  <si>
    <t>AREA         [KM2]</t>
  </si>
  <si>
    <t>ESTACIONES PLUVIOMETRICAS UTILIZADAS:</t>
  </si>
  <si>
    <t>EVAPOTRANSPIRACION - ESTACION:</t>
  </si>
  <si>
    <t>RESERVA MAX.  [MM]</t>
  </si>
  <si>
    <t>Villa Angela</t>
  </si>
  <si>
    <t>Las Breñas</t>
  </si>
  <si>
    <t>EXC. SUP. MIN.[MM]</t>
  </si>
  <si>
    <t>General Pinedo</t>
  </si>
  <si>
    <t>EXC. SUP. MAX.[MM]</t>
  </si>
  <si>
    <t>Coronel Du Graty</t>
  </si>
  <si>
    <t>SECCION DE CONTROL:</t>
  </si>
  <si>
    <t>Ruta Nac. N 95</t>
  </si>
  <si>
    <t>COEF.ESC.SUP [Ces]</t>
  </si>
  <si>
    <t>RESERVA INIC. [MM]</t>
  </si>
  <si>
    <t>MARCHITEZ PERM[MM]</t>
  </si>
  <si>
    <t>AÑO HIDROLOGICO:</t>
  </si>
  <si>
    <t>1980/81</t>
  </si>
  <si>
    <t>CAUDAL DE DISEÑO OBRA:</t>
  </si>
  <si>
    <t>m3/s</t>
  </si>
  <si>
    <t>AREA:</t>
  </si>
  <si>
    <t>SISTEMA:</t>
  </si>
  <si>
    <t>PARANA</t>
  </si>
  <si>
    <t>TRABAJO PRACTICO Nº 8 - SANEAMIENTO REGIONAL - Evaluación hidrológica a paso mensual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</si>
</sst>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#."/>
    <numFmt numFmtId="182" formatCode="0_)"/>
    <numFmt numFmtId="183" formatCode="0.0_)"/>
    <numFmt numFmtId="184" formatCode="0.00_)"/>
  </numFmts>
  <fonts count="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18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left"/>
      <protection/>
    </xf>
    <xf numFmtId="180" fontId="5" fillId="0" borderId="1" xfId="0" applyFont="1" applyFill="1" applyBorder="1" applyAlignment="1">
      <alignment/>
    </xf>
    <xf numFmtId="180" fontId="5" fillId="0" borderId="2" xfId="0" applyFont="1" applyFill="1" applyBorder="1" applyAlignment="1">
      <alignment/>
    </xf>
    <xf numFmtId="180" fontId="5" fillId="0" borderId="2" xfId="0" applyNumberFormat="1" applyFont="1" applyFill="1" applyBorder="1" applyAlignment="1" applyProtection="1">
      <alignment/>
      <protection/>
    </xf>
    <xf numFmtId="180" fontId="5" fillId="0" borderId="3" xfId="0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0" fontId="5" fillId="0" borderId="4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center"/>
      <protection/>
    </xf>
    <xf numFmtId="180" fontId="5" fillId="0" borderId="4" xfId="0" applyNumberFormat="1" applyFont="1" applyFill="1" applyBorder="1" applyAlignment="1" applyProtection="1">
      <alignment horizontal="left"/>
      <protection/>
    </xf>
    <xf numFmtId="180" fontId="5" fillId="0" borderId="3" xfId="0" applyFont="1" applyFill="1" applyBorder="1" applyAlignment="1">
      <alignment horizontal="center"/>
    </xf>
    <xf numFmtId="180" fontId="5" fillId="0" borderId="4" xfId="0" applyNumberFormat="1" applyFont="1" applyFill="1" applyBorder="1" applyAlignment="1" applyProtection="1">
      <alignment horizontal="center"/>
      <protection/>
    </xf>
    <xf numFmtId="180" fontId="5" fillId="0" borderId="5" xfId="0" applyFont="1" applyFill="1" applyBorder="1" applyAlignment="1">
      <alignment/>
    </xf>
    <xf numFmtId="180" fontId="5" fillId="0" borderId="5" xfId="0" applyNumberFormat="1" applyFont="1" applyFill="1" applyBorder="1" applyAlignment="1" applyProtection="1">
      <alignment/>
      <protection/>
    </xf>
    <xf numFmtId="182" fontId="5" fillId="0" borderId="4" xfId="0" applyNumberFormat="1" applyFont="1" applyFill="1" applyBorder="1" applyAlignment="1" applyProtection="1">
      <alignment horizontal="center"/>
      <protection/>
    </xf>
    <xf numFmtId="183" fontId="5" fillId="0" borderId="4" xfId="0" applyNumberFormat="1" applyFont="1" applyFill="1" applyBorder="1" applyAlignment="1" applyProtection="1">
      <alignment horizontal="center"/>
      <protection/>
    </xf>
    <xf numFmtId="184" fontId="5" fillId="0" borderId="4" xfId="0" applyNumberFormat="1" applyFont="1" applyFill="1" applyBorder="1" applyAlignment="1" applyProtection="1">
      <alignment horizontal="center"/>
      <protection/>
    </xf>
    <xf numFmtId="180" fontId="5" fillId="0" borderId="6" xfId="0" applyNumberFormat="1" applyFont="1" applyFill="1" applyBorder="1" applyAlignment="1" applyProtection="1">
      <alignment/>
      <protection locked="0"/>
    </xf>
    <xf numFmtId="180" fontId="5" fillId="0" borderId="7" xfId="0" applyNumberFormat="1" applyFont="1" applyFill="1" applyBorder="1" applyAlignment="1" applyProtection="1">
      <alignment/>
      <protection locked="0"/>
    </xf>
    <xf numFmtId="180" fontId="5" fillId="0" borderId="6" xfId="0" applyNumberFormat="1" applyFont="1" applyFill="1" applyBorder="1" applyAlignment="1" applyProtection="1">
      <alignment horizontal="center"/>
      <protection/>
    </xf>
    <xf numFmtId="180" fontId="5" fillId="0" borderId="7" xfId="0" applyNumberFormat="1" applyFont="1" applyFill="1" applyBorder="1" applyAlignment="1" applyProtection="1">
      <alignment horizontal="center"/>
      <protection/>
    </xf>
    <xf numFmtId="182" fontId="5" fillId="0" borderId="7" xfId="0" applyNumberFormat="1" applyFont="1" applyFill="1" applyBorder="1" applyAlignment="1" applyProtection="1">
      <alignment horizontal="center"/>
      <protection/>
    </xf>
    <xf numFmtId="183" fontId="5" fillId="0" borderId="7" xfId="0" applyNumberFormat="1" applyFont="1" applyFill="1" applyBorder="1" applyAlignment="1" applyProtection="1">
      <alignment horizontal="center"/>
      <protection/>
    </xf>
    <xf numFmtId="184" fontId="5" fillId="0" borderId="7" xfId="0" applyNumberFormat="1" applyFont="1" applyFill="1" applyBorder="1" applyAlignment="1" applyProtection="1">
      <alignment horizontal="center"/>
      <protection/>
    </xf>
    <xf numFmtId="180" fontId="5" fillId="0" borderId="7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 horizontal="center"/>
      <protection/>
    </xf>
    <xf numFmtId="180" fontId="5" fillId="0" borderId="6" xfId="0" applyNumberFormat="1" applyFont="1" applyFill="1" applyBorder="1" applyAlignment="1" applyProtection="1">
      <alignment/>
      <protection/>
    </xf>
    <xf numFmtId="180" fontId="5" fillId="0" borderId="8" xfId="0" applyFont="1" applyFill="1" applyBorder="1" applyAlignment="1">
      <alignment/>
    </xf>
    <xf numFmtId="182" fontId="5" fillId="0" borderId="6" xfId="0" applyNumberFormat="1" applyFont="1" applyFill="1" applyBorder="1" applyAlignment="1" applyProtection="1">
      <alignment horizontal="center"/>
      <protection/>
    </xf>
    <xf numFmtId="180" fontId="5" fillId="0" borderId="2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4" fontId="5" fillId="0" borderId="2" xfId="0" applyNumberFormat="1" applyFont="1" applyFill="1" applyBorder="1" applyAlignment="1" applyProtection="1">
      <alignment/>
      <protection/>
    </xf>
    <xf numFmtId="180" fontId="0" fillId="0" borderId="9" xfId="0" applyFill="1" applyBorder="1" applyAlignment="1">
      <alignment horizontal="center"/>
    </xf>
    <xf numFmtId="180" fontId="0" fillId="0" borderId="10" xfId="0" applyFill="1" applyBorder="1" applyAlignment="1">
      <alignment horizontal="center"/>
    </xf>
    <xf numFmtId="180" fontId="5" fillId="0" borderId="11" xfId="0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 horizontal="left"/>
      <protection/>
    </xf>
    <xf numFmtId="180" fontId="0" fillId="0" borderId="8" xfId="0" applyBorder="1" applyAlignment="1">
      <alignment/>
    </xf>
    <xf numFmtId="180" fontId="0" fillId="0" borderId="0" xfId="0" applyFill="1" applyAlignment="1">
      <alignment/>
    </xf>
    <xf numFmtId="183" fontId="5" fillId="0" borderId="12" xfId="0" applyNumberFormat="1" applyFont="1" applyFill="1" applyBorder="1" applyAlignment="1" applyProtection="1">
      <alignment horizontal="center"/>
      <protection/>
    </xf>
    <xf numFmtId="183" fontId="5" fillId="0" borderId="13" xfId="0" applyNumberFormat="1" applyFont="1" applyFill="1" applyBorder="1" applyAlignment="1" applyProtection="1">
      <alignment horizontal="center"/>
      <protection/>
    </xf>
    <xf numFmtId="180" fontId="0" fillId="0" borderId="0" xfId="0" applyBorder="1" applyAlignment="1">
      <alignment/>
    </xf>
    <xf numFmtId="180" fontId="5" fillId="0" borderId="5" xfId="0" applyNumberFormat="1" applyFont="1" applyFill="1" applyBorder="1" applyAlignment="1" applyProtection="1">
      <alignment horizontal="right"/>
      <protection/>
    </xf>
    <xf numFmtId="180" fontId="5" fillId="0" borderId="14" xfId="0" applyNumberFormat="1" applyFont="1" applyFill="1" applyBorder="1" applyAlignment="1" applyProtection="1">
      <alignment/>
      <protection locked="0"/>
    </xf>
    <xf numFmtId="182" fontId="5" fillId="0" borderId="15" xfId="0" applyNumberFormat="1" applyFont="1" applyFill="1" applyBorder="1" applyAlignment="1" applyProtection="1">
      <alignment horizontal="center"/>
      <protection/>
    </xf>
    <xf numFmtId="180" fontId="0" fillId="0" borderId="16" xfId="0" applyFill="1" applyBorder="1" applyAlignment="1">
      <alignment horizontal="center"/>
    </xf>
    <xf numFmtId="180" fontId="0" fillId="0" borderId="17" xfId="0" applyFill="1" applyBorder="1" applyAlignment="1">
      <alignment horizontal="center"/>
    </xf>
    <xf numFmtId="182" fontId="5" fillId="0" borderId="1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4"/>
  <sheetViews>
    <sheetView tabSelected="1" zoomScale="50" zoomScaleNormal="50" workbookViewId="0" topLeftCell="A1">
      <selection activeCell="G32" sqref="G32"/>
    </sheetView>
  </sheetViews>
  <sheetFormatPr defaultColWidth="9.796875" defaultRowHeight="15"/>
  <cols>
    <col min="2" max="2" width="22.796875" style="0" customWidth="1"/>
    <col min="18" max="18" width="22.796875" style="0" customWidth="1"/>
  </cols>
  <sheetData>
    <row r="1" ht="15">
      <c r="A1" t="s">
        <v>56</v>
      </c>
    </row>
    <row r="2" spans="1:22" ht="15.75" thickBot="1">
      <c r="A2" s="2" t="s">
        <v>0</v>
      </c>
      <c r="E2" s="2" t="s">
        <v>1</v>
      </c>
      <c r="F2" s="1">
        <v>3</v>
      </c>
      <c r="Q2" s="2" t="s">
        <v>0</v>
      </c>
      <c r="U2" s="2" t="s">
        <v>1</v>
      </c>
      <c r="V2" s="1">
        <v>4</v>
      </c>
    </row>
    <row r="3" spans="1:31" ht="15.75" thickTop="1">
      <c r="A3" s="3"/>
      <c r="B3" s="9" t="s">
        <v>2</v>
      </c>
      <c r="C3" s="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4"/>
      <c r="Q3" s="3"/>
      <c r="R3" s="9" t="s">
        <v>2</v>
      </c>
      <c r="S3" s="9" t="s">
        <v>3</v>
      </c>
      <c r="T3" s="20" t="s">
        <v>4</v>
      </c>
      <c r="U3" s="20" t="s">
        <v>5</v>
      </c>
      <c r="V3" s="20" t="s">
        <v>6</v>
      </c>
      <c r="W3" s="20" t="s">
        <v>7</v>
      </c>
      <c r="X3" s="20" t="s">
        <v>8</v>
      </c>
      <c r="Y3" s="20" t="s">
        <v>9</v>
      </c>
      <c r="Z3" s="20" t="s">
        <v>10</v>
      </c>
      <c r="AA3" s="20" t="s">
        <v>11</v>
      </c>
      <c r="AB3" s="20" t="s">
        <v>12</v>
      </c>
      <c r="AC3" s="20" t="s">
        <v>13</v>
      </c>
      <c r="AD3" s="20" t="s">
        <v>14</v>
      </c>
      <c r="AE3" s="4"/>
    </row>
    <row r="4" spans="1:30" ht="15">
      <c r="A4" s="4"/>
      <c r="B4" s="10" t="s">
        <v>15</v>
      </c>
      <c r="C4" s="46">
        <v>259</v>
      </c>
      <c r="D4" s="33">
        <v>206</v>
      </c>
      <c r="E4" s="34">
        <v>148</v>
      </c>
      <c r="F4" s="33">
        <v>201</v>
      </c>
      <c r="G4" s="34">
        <v>107</v>
      </c>
      <c r="H4" s="33">
        <v>266</v>
      </c>
      <c r="I4" s="34">
        <v>118</v>
      </c>
      <c r="J4" s="33">
        <v>331</v>
      </c>
      <c r="K4" s="34">
        <v>8</v>
      </c>
      <c r="L4" s="33">
        <v>138</v>
      </c>
      <c r="M4" s="34">
        <v>5</v>
      </c>
      <c r="N4" s="45">
        <v>7</v>
      </c>
      <c r="Q4" s="4"/>
      <c r="R4" s="10" t="s">
        <v>15</v>
      </c>
      <c r="S4" s="46">
        <v>0</v>
      </c>
      <c r="T4" s="33">
        <v>38</v>
      </c>
      <c r="U4" s="34">
        <v>82</v>
      </c>
      <c r="V4" s="33">
        <v>71</v>
      </c>
      <c r="W4" s="34">
        <v>107</v>
      </c>
      <c r="X4" s="33">
        <v>266</v>
      </c>
      <c r="Y4" s="34">
        <v>118</v>
      </c>
      <c r="Z4" s="33">
        <v>331</v>
      </c>
      <c r="AA4" s="34">
        <v>8</v>
      </c>
      <c r="AB4" s="33">
        <v>138</v>
      </c>
      <c r="AC4" s="34">
        <v>5</v>
      </c>
      <c r="AD4" s="45">
        <v>7</v>
      </c>
    </row>
    <row r="5" spans="1:31" ht="15">
      <c r="A5" s="4"/>
      <c r="B5" s="10" t="s">
        <v>16</v>
      </c>
      <c r="C5" s="39">
        <v>0</v>
      </c>
      <c r="D5" s="40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4"/>
      <c r="Q5" s="4"/>
      <c r="R5" s="10" t="s">
        <v>16</v>
      </c>
      <c r="S5" s="16">
        <f aca="true" t="shared" si="0" ref="S5:AD5">C10*$C$23/$S$24</f>
        <v>0</v>
      </c>
      <c r="T5" s="23">
        <f t="shared" si="0"/>
        <v>1.233152941987522</v>
      </c>
      <c r="U5" s="23">
        <f t="shared" si="0"/>
        <v>1.8291768639481576</v>
      </c>
      <c r="V5" s="23">
        <f t="shared" si="0"/>
        <v>5.377574454517251</v>
      </c>
      <c r="W5" s="23">
        <f t="shared" si="0"/>
        <v>2.5567884810933768</v>
      </c>
      <c r="X5" s="23">
        <f t="shared" si="0"/>
        <v>7.475827859475715</v>
      </c>
      <c r="Y5" s="23">
        <f t="shared" si="0"/>
        <v>5.94340269989185</v>
      </c>
      <c r="Z5" s="23">
        <f t="shared" si="0"/>
        <v>41.215216611533116</v>
      </c>
      <c r="AA5" s="23">
        <f t="shared" si="0"/>
        <v>7.131734514494501</v>
      </c>
      <c r="AB5" s="23">
        <f t="shared" si="0"/>
        <v>10.378009634276653</v>
      </c>
      <c r="AC5" s="23">
        <f t="shared" si="0"/>
        <v>7.752575639412635</v>
      </c>
      <c r="AD5" s="23">
        <f t="shared" si="0"/>
        <v>5.397641449579471</v>
      </c>
      <c r="AE5" s="4"/>
    </row>
    <row r="6" spans="1:31" ht="15">
      <c r="A6" s="4"/>
      <c r="B6" s="10" t="s">
        <v>17</v>
      </c>
      <c r="C6" s="15">
        <v>160</v>
      </c>
      <c r="D6" s="22">
        <v>175</v>
      </c>
      <c r="E6" s="22">
        <v>129</v>
      </c>
      <c r="F6" s="22">
        <v>108</v>
      </c>
      <c r="G6" s="22">
        <v>156</v>
      </c>
      <c r="H6" s="22">
        <v>137</v>
      </c>
      <c r="I6" s="22">
        <v>128</v>
      </c>
      <c r="J6" s="22">
        <v>74</v>
      </c>
      <c r="K6" s="22">
        <v>64</v>
      </c>
      <c r="L6" s="22">
        <v>33</v>
      </c>
      <c r="M6" s="22">
        <v>31</v>
      </c>
      <c r="N6" s="47">
        <v>36</v>
      </c>
      <c r="O6" s="41"/>
      <c r="Q6" s="4"/>
      <c r="R6" s="10" t="s">
        <v>17</v>
      </c>
      <c r="S6" s="15">
        <v>64</v>
      </c>
      <c r="T6" s="22">
        <v>121</v>
      </c>
      <c r="U6" s="22">
        <v>113</v>
      </c>
      <c r="V6" s="22">
        <v>132</v>
      </c>
      <c r="W6" s="22">
        <v>156</v>
      </c>
      <c r="X6" s="22">
        <v>137</v>
      </c>
      <c r="Y6" s="22">
        <v>128</v>
      </c>
      <c r="Z6" s="22">
        <v>74</v>
      </c>
      <c r="AA6" s="22">
        <v>64</v>
      </c>
      <c r="AB6" s="22">
        <v>33</v>
      </c>
      <c r="AC6" s="22">
        <v>31</v>
      </c>
      <c r="AD6" s="22">
        <v>36</v>
      </c>
      <c r="AE6" s="30"/>
    </row>
    <row r="7" spans="1:31" ht="15">
      <c r="A7" s="5" t="s">
        <v>18</v>
      </c>
      <c r="B7" s="10" t="s">
        <v>19</v>
      </c>
      <c r="C7" s="15">
        <f>IF(SUM($C$28+C4-C6)&lt;$C$29,$C$29,IF(SUM($C$28+C4-C6)&gt;$C$24,$C$24,SUM($C$28+C4-C6)))</f>
        <v>355</v>
      </c>
      <c r="D7" s="22">
        <f aca="true" t="shared" si="1" ref="D7:N7">IF(SUM(C7+D4-D6+C12)&lt;$C$29,$C$29,IF(SUM(C7+D4-D6+C12)&gt;$C$24,$C$24,SUM(C7+D4-D6+C12)))</f>
        <v>355</v>
      </c>
      <c r="E7" s="22">
        <f t="shared" si="1"/>
        <v>355</v>
      </c>
      <c r="F7" s="22">
        <f t="shared" si="1"/>
        <v>355</v>
      </c>
      <c r="G7" s="22">
        <f t="shared" si="1"/>
        <v>355</v>
      </c>
      <c r="H7" s="22">
        <f t="shared" si="1"/>
        <v>355</v>
      </c>
      <c r="I7" s="22">
        <f t="shared" si="1"/>
        <v>355</v>
      </c>
      <c r="J7" s="22">
        <f t="shared" si="1"/>
        <v>355</v>
      </c>
      <c r="K7" s="22">
        <f t="shared" si="1"/>
        <v>355</v>
      </c>
      <c r="L7" s="22">
        <f t="shared" si="1"/>
        <v>355</v>
      </c>
      <c r="M7" s="22">
        <f t="shared" si="1"/>
        <v>355</v>
      </c>
      <c r="N7" s="22">
        <f t="shared" si="1"/>
        <v>355</v>
      </c>
      <c r="O7" s="4"/>
      <c r="Q7" s="5" t="s">
        <v>18</v>
      </c>
      <c r="R7" s="10" t="s">
        <v>19</v>
      </c>
      <c r="S7" s="15">
        <f>IF(SUM($S$29+S4-S6)&lt;$S$30,$S$30,IF(SUM($S$29+S4-S6)&gt;$S$25,$S$25,SUM($S$29+S4-S6)))</f>
        <v>192.9</v>
      </c>
      <c r="T7" s="22">
        <f aca="true" t="shared" si="2" ref="T7:AD7">IF(SUM(S7+T4-T6+S12)&lt;$S$30,$S$30,IF(SUM(S7+T4-T6+S12)&gt;$S$25,$S$25,SUM(S7+T4-T6+S12)))</f>
        <v>192.9</v>
      </c>
      <c r="U7" s="22">
        <f t="shared" si="2"/>
        <v>192.9</v>
      </c>
      <c r="V7" s="22">
        <f t="shared" si="2"/>
        <v>192.9</v>
      </c>
      <c r="W7" s="22">
        <f t="shared" si="2"/>
        <v>192.9</v>
      </c>
      <c r="X7" s="22">
        <f t="shared" si="2"/>
        <v>321.9</v>
      </c>
      <c r="Y7" s="22">
        <f t="shared" si="2"/>
        <v>311.9</v>
      </c>
      <c r="Z7" s="22">
        <f t="shared" si="2"/>
        <v>480</v>
      </c>
      <c r="AA7" s="22">
        <f t="shared" si="2"/>
        <v>480</v>
      </c>
      <c r="AB7" s="22">
        <f t="shared" si="2"/>
        <v>480</v>
      </c>
      <c r="AC7" s="22">
        <f t="shared" si="2"/>
        <v>480</v>
      </c>
      <c r="AD7" s="22">
        <f t="shared" si="2"/>
        <v>480</v>
      </c>
      <c r="AE7" s="4"/>
    </row>
    <row r="8" spans="1:31" ht="15">
      <c r="A8" s="4"/>
      <c r="B8" s="10" t="s">
        <v>20</v>
      </c>
      <c r="C8" s="12">
        <f>IF(SUM(C4+$C$28-C6)&gt;$C$29,0,SUM(C6+C7-C4-$C$28))</f>
        <v>0</v>
      </c>
      <c r="D8" s="21">
        <f aca="true" t="shared" si="3" ref="D8:N8">IF(SUM(D4+C7+C12-D6)&gt;$C$29,0,SUM(D6+D7-D4-C12-C7))</f>
        <v>0</v>
      </c>
      <c r="E8" s="21">
        <f t="shared" si="3"/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4"/>
      <c r="Q8" s="4"/>
      <c r="R8" s="10" t="s">
        <v>20</v>
      </c>
      <c r="S8" s="12">
        <f>IF(SUM(S4+$S$29-S6)&gt;$S$30,0,SUM(S6+S7-S4-$S$29))</f>
        <v>36.89999999999998</v>
      </c>
      <c r="T8" s="21">
        <f aca="true" t="shared" si="4" ref="T8:AD8">IF(SUM(T4+S7+S12-T6)&gt;$S$30,0,SUM(T6+T7-T4-S12-S7))</f>
        <v>82.99999999999997</v>
      </c>
      <c r="U8" s="21">
        <f t="shared" si="4"/>
        <v>30.99999999999997</v>
      </c>
      <c r="V8" s="21">
        <f t="shared" si="4"/>
        <v>60.99999999999997</v>
      </c>
      <c r="W8" s="21">
        <f t="shared" si="4"/>
        <v>48.99999999999997</v>
      </c>
      <c r="X8" s="21">
        <f t="shared" si="4"/>
        <v>0</v>
      </c>
      <c r="Y8" s="21">
        <f t="shared" si="4"/>
        <v>0</v>
      </c>
      <c r="Z8" s="21">
        <f t="shared" si="4"/>
        <v>0</v>
      </c>
      <c r="AA8" s="21">
        <f t="shared" si="4"/>
        <v>0</v>
      </c>
      <c r="AB8" s="21">
        <f t="shared" si="4"/>
        <v>0</v>
      </c>
      <c r="AC8" s="21">
        <f t="shared" si="4"/>
        <v>0</v>
      </c>
      <c r="AD8" s="21">
        <f t="shared" si="4"/>
        <v>0</v>
      </c>
      <c r="AE8" s="4"/>
    </row>
    <row r="9" spans="1:31" ht="15">
      <c r="A9" s="5" t="s">
        <v>21</v>
      </c>
      <c r="B9" s="10" t="s">
        <v>22</v>
      </c>
      <c r="C9" s="16">
        <f>IF(SUM(C4+C5-C6+$C$28-$C$24)&gt;0,SUM(C4+C5-C6+$C$28-$C$24),0)</f>
        <v>19</v>
      </c>
      <c r="D9" s="23">
        <f aca="true" t="shared" si="5" ref="D9:N9">IF(SUM(C12+D4+D5-D6+C7-$C$24)&gt;0,SUM(C12+D4+D5-D6+C7-$C$24),0)</f>
        <v>50</v>
      </c>
      <c r="E9" s="23">
        <f t="shared" si="5"/>
        <v>64.5</v>
      </c>
      <c r="F9" s="23">
        <f t="shared" si="5"/>
        <v>150.825</v>
      </c>
      <c r="G9" s="23">
        <f t="shared" si="5"/>
        <v>82.20124999999996</v>
      </c>
      <c r="H9" s="23">
        <f t="shared" si="5"/>
        <v>201.8710625</v>
      </c>
      <c r="I9" s="23">
        <f t="shared" si="5"/>
        <v>164.59040312499997</v>
      </c>
      <c r="J9" s="23">
        <f t="shared" si="5"/>
        <v>399.90184265625</v>
      </c>
      <c r="K9" s="23">
        <f t="shared" si="5"/>
        <v>193.5</v>
      </c>
      <c r="L9" s="23">
        <f t="shared" si="5"/>
        <v>272.475</v>
      </c>
      <c r="M9" s="23">
        <f t="shared" si="5"/>
        <v>208.60375</v>
      </c>
      <c r="N9" s="23">
        <f t="shared" si="5"/>
        <v>151.31318750000003</v>
      </c>
      <c r="O9" s="4"/>
      <c r="Q9" s="5" t="s">
        <v>21</v>
      </c>
      <c r="R9" s="10" t="s">
        <v>22</v>
      </c>
      <c r="S9" s="16">
        <f>IF(SUM(S4+S5-S6+$S$29-$S$25)&gt;0,SUM(S4+S5-S6+$S$29-$S$25),0)</f>
        <v>0</v>
      </c>
      <c r="T9" s="23">
        <f aca="true" t="shared" si="6" ref="T9:AD9">IF(SUM(S12+T4+T5-T6+S7-$S$25)&gt;0,SUM(S12+T4+T5-T6+S7-$S$25),0)</f>
        <v>0</v>
      </c>
      <c r="U9" s="23">
        <f t="shared" si="6"/>
        <v>0</v>
      </c>
      <c r="V9" s="23">
        <f t="shared" si="6"/>
        <v>0</v>
      </c>
      <c r="W9" s="23">
        <f t="shared" si="6"/>
        <v>0</v>
      </c>
      <c r="X9" s="23">
        <f t="shared" si="6"/>
        <v>0</v>
      </c>
      <c r="Y9" s="23">
        <f t="shared" si="6"/>
        <v>0</v>
      </c>
      <c r="Z9" s="23">
        <f t="shared" si="6"/>
        <v>130.11521661153301</v>
      </c>
      <c r="AA9" s="23">
        <f t="shared" si="6"/>
        <v>52.73173451449452</v>
      </c>
      <c r="AB9" s="23">
        <f t="shared" si="6"/>
        <v>166.5819360070318</v>
      </c>
      <c r="AC9" s="23">
        <f t="shared" si="6"/>
        <v>83.35257563941263</v>
      </c>
      <c r="AD9" s="23">
        <f t="shared" si="6"/>
        <v>54.54790801226261</v>
      </c>
      <c r="AE9" s="4"/>
    </row>
    <row r="10" spans="1:31" ht="15.75" thickBot="1">
      <c r="A10" s="4"/>
      <c r="B10" s="10" t="s">
        <v>23</v>
      </c>
      <c r="C10" s="16">
        <f aca="true" t="shared" si="7" ref="C10:N10">IF(C9&gt;$C$25,IF(C9&gt;$C$26,$C$27*($C$26-$C$25)+(C9-$C$26),$C$27*(C9-$C$25)),0)</f>
        <v>0</v>
      </c>
      <c r="D10" s="23">
        <f t="shared" si="7"/>
        <v>4.5</v>
      </c>
      <c r="E10" s="23">
        <f t="shared" si="7"/>
        <v>6.675</v>
      </c>
      <c r="F10" s="23">
        <f t="shared" si="7"/>
        <v>19.623749999999998</v>
      </c>
      <c r="G10" s="23">
        <f t="shared" si="7"/>
        <v>9.330187499999994</v>
      </c>
      <c r="H10" s="23">
        <f t="shared" si="7"/>
        <v>27.280659375</v>
      </c>
      <c r="I10" s="23">
        <f t="shared" si="7"/>
        <v>21.688560468749994</v>
      </c>
      <c r="J10" s="23">
        <f t="shared" si="7"/>
        <v>150.40184265624998</v>
      </c>
      <c r="K10" s="23">
        <f t="shared" si="7"/>
        <v>26.025</v>
      </c>
      <c r="L10" s="23">
        <f t="shared" si="7"/>
        <v>37.87125</v>
      </c>
      <c r="M10" s="23">
        <f t="shared" si="7"/>
        <v>28.290562499999997</v>
      </c>
      <c r="N10" s="23">
        <f t="shared" si="7"/>
        <v>19.696978125000005</v>
      </c>
      <c r="O10" s="4"/>
      <c r="Q10" s="4"/>
      <c r="R10" s="10" t="s">
        <v>23</v>
      </c>
      <c r="S10" s="16">
        <f aca="true" t="shared" si="8" ref="S10:AD10">IF(S9&gt;$S$26,IF(S9&gt;$S$27,$S$28*($S$27-$S$26)+(S9-$S$27),$S$28*(S9-$S$26)),0)</f>
        <v>0</v>
      </c>
      <c r="T10" s="23">
        <f t="shared" si="8"/>
        <v>0</v>
      </c>
      <c r="U10" s="23">
        <f t="shared" si="8"/>
        <v>0</v>
      </c>
      <c r="V10" s="23">
        <f t="shared" si="8"/>
        <v>0</v>
      </c>
      <c r="W10" s="23">
        <f t="shared" si="8"/>
        <v>0</v>
      </c>
      <c r="X10" s="23">
        <f t="shared" si="8"/>
        <v>0</v>
      </c>
      <c r="Y10" s="23">
        <f t="shared" si="8"/>
        <v>0</v>
      </c>
      <c r="Z10" s="23">
        <f t="shared" si="8"/>
        <v>28.515216611533013</v>
      </c>
      <c r="AA10" s="23">
        <f t="shared" si="8"/>
        <v>1.5278081417393423</v>
      </c>
      <c r="AB10" s="23">
        <f t="shared" si="8"/>
        <v>64.9819360070318</v>
      </c>
      <c r="AC10" s="23">
        <f t="shared" si="8"/>
        <v>5.202309076729516</v>
      </c>
      <c r="AD10" s="23">
        <f t="shared" si="8"/>
        <v>1.7457489614715131</v>
      </c>
      <c r="AE10" s="4"/>
    </row>
    <row r="11" spans="1:32" ht="16.5" thickBot="1" thickTop="1">
      <c r="A11" s="4"/>
      <c r="B11" s="10" t="s">
        <v>24</v>
      </c>
      <c r="C11" s="17">
        <f aca="true" t="shared" si="9" ref="C11:N11">(C10*$C$23*10^(-3))</f>
        <v>0</v>
      </c>
      <c r="D11" s="24">
        <f t="shared" si="9"/>
        <v>0.7155</v>
      </c>
      <c r="E11" s="24">
        <f t="shared" si="9"/>
        <v>1.061325</v>
      </c>
      <c r="F11" s="24">
        <f t="shared" si="9"/>
        <v>3.1201762499999997</v>
      </c>
      <c r="G11" s="23">
        <f t="shared" si="9"/>
        <v>1.4834998124999992</v>
      </c>
      <c r="H11" s="23">
        <f t="shared" si="9"/>
        <v>4.337624840625</v>
      </c>
      <c r="I11" s="23">
        <f t="shared" si="9"/>
        <v>3.448481114531249</v>
      </c>
      <c r="J11" s="23">
        <f t="shared" si="9"/>
        <v>23.913892982343746</v>
      </c>
      <c r="K11" s="23">
        <f t="shared" si="9"/>
        <v>4.137975</v>
      </c>
      <c r="L11" s="23">
        <f t="shared" si="9"/>
        <v>6.021528750000001</v>
      </c>
      <c r="M11" s="23">
        <f t="shared" si="9"/>
        <v>4.498199437499999</v>
      </c>
      <c r="N11" s="23">
        <f t="shared" si="9"/>
        <v>3.1318195218750007</v>
      </c>
      <c r="O11" s="31">
        <f>SUM(C11:N11)</f>
        <v>55.87002270937499</v>
      </c>
      <c r="P11" s="4"/>
      <c r="Q11" s="4"/>
      <c r="R11" s="10" t="s">
        <v>24</v>
      </c>
      <c r="S11" s="17">
        <f aca="true" t="shared" si="10" ref="S11:AD11">(S10*$S$24*10^(-3))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16.54509898234369</v>
      </c>
      <c r="AA11" s="24">
        <f t="shared" si="10"/>
        <v>0.8864648400000013</v>
      </c>
      <c r="AB11" s="24">
        <f t="shared" si="10"/>
        <v>37.703818909999995</v>
      </c>
      <c r="AC11" s="24">
        <f t="shared" si="10"/>
        <v>3.0184837724999998</v>
      </c>
      <c r="AD11" s="24">
        <f t="shared" si="10"/>
        <v>1.0129184624250014</v>
      </c>
      <c r="AE11" s="31">
        <f>SUM(S11:AD11)</f>
        <v>59.16678496726868</v>
      </c>
      <c r="AF11" s="4"/>
    </row>
    <row r="12" spans="1:31" ht="15.75" thickTop="1">
      <c r="A12" s="4"/>
      <c r="B12" s="10" t="s">
        <v>25</v>
      </c>
      <c r="C12" s="16">
        <f aca="true" t="shared" si="11" ref="C12:N12">(C9-C10)</f>
        <v>19</v>
      </c>
      <c r="D12" s="23">
        <f t="shared" si="11"/>
        <v>45.5</v>
      </c>
      <c r="E12" s="23">
        <f t="shared" si="11"/>
        <v>57.825</v>
      </c>
      <c r="F12" s="23">
        <f t="shared" si="11"/>
        <v>131.20125</v>
      </c>
      <c r="G12" s="23">
        <f t="shared" si="11"/>
        <v>72.87106249999997</v>
      </c>
      <c r="H12" s="23">
        <f t="shared" si="11"/>
        <v>174.590403125</v>
      </c>
      <c r="I12" s="23">
        <f t="shared" si="11"/>
        <v>142.90184265624998</v>
      </c>
      <c r="J12" s="23">
        <f t="shared" si="11"/>
        <v>249.5</v>
      </c>
      <c r="K12" s="23">
        <f t="shared" si="11"/>
        <v>167.475</v>
      </c>
      <c r="L12" s="23">
        <f t="shared" si="11"/>
        <v>234.60375000000002</v>
      </c>
      <c r="M12" s="23">
        <f t="shared" si="11"/>
        <v>180.3131875</v>
      </c>
      <c r="N12" s="23">
        <f t="shared" si="11"/>
        <v>131.616209375</v>
      </c>
      <c r="O12" s="3"/>
      <c r="Q12" s="4"/>
      <c r="R12" s="10" t="s">
        <v>25</v>
      </c>
      <c r="S12" s="16">
        <f aca="true" t="shared" si="12" ref="S12:AD12">(S9-S10)</f>
        <v>0</v>
      </c>
      <c r="T12" s="23">
        <f t="shared" si="12"/>
        <v>0</v>
      </c>
      <c r="U12" s="23">
        <f t="shared" si="12"/>
        <v>0</v>
      </c>
      <c r="V12" s="23">
        <f t="shared" si="12"/>
        <v>0</v>
      </c>
      <c r="W12" s="23">
        <f t="shared" si="12"/>
        <v>0</v>
      </c>
      <c r="X12" s="23">
        <f t="shared" si="12"/>
        <v>0</v>
      </c>
      <c r="Y12" s="23">
        <f t="shared" si="12"/>
        <v>0</v>
      </c>
      <c r="Z12" s="23">
        <f t="shared" si="12"/>
        <v>101.6</v>
      </c>
      <c r="AA12" s="23">
        <f t="shared" si="12"/>
        <v>51.20392637275518</v>
      </c>
      <c r="AB12" s="23">
        <f t="shared" si="12"/>
        <v>101.6</v>
      </c>
      <c r="AC12" s="23">
        <f t="shared" si="12"/>
        <v>78.15026656268311</v>
      </c>
      <c r="AD12" s="23">
        <f t="shared" si="12"/>
        <v>52.8021590507911</v>
      </c>
      <c r="AE12" s="3"/>
    </row>
    <row r="13" spans="1:31" ht="15.75" thickBot="1">
      <c r="A13" s="4"/>
      <c r="B13" s="10" t="s">
        <v>26</v>
      </c>
      <c r="C13" s="22">
        <f>C12/$C$26*100</f>
        <v>6.551724137931035</v>
      </c>
      <c r="D13" s="22">
        <f aca="true" t="shared" si="13" ref="D13:N13">D12/$C$26*100</f>
        <v>15.689655172413794</v>
      </c>
      <c r="E13" s="22">
        <f t="shared" si="13"/>
        <v>19.939655172413794</v>
      </c>
      <c r="F13" s="22">
        <f t="shared" si="13"/>
        <v>45.241810344827584</v>
      </c>
      <c r="G13" s="22">
        <f t="shared" si="13"/>
        <v>25.127952586206888</v>
      </c>
      <c r="H13" s="22">
        <f t="shared" si="13"/>
        <v>60.20358728448275</v>
      </c>
      <c r="I13" s="22">
        <f t="shared" si="13"/>
        <v>49.27649746767241</v>
      </c>
      <c r="J13" s="22">
        <f t="shared" si="13"/>
        <v>86.03448275862068</v>
      </c>
      <c r="K13" s="22">
        <f t="shared" si="13"/>
        <v>57.75</v>
      </c>
      <c r="L13" s="22">
        <f t="shared" si="13"/>
        <v>80.89784482758621</v>
      </c>
      <c r="M13" s="22">
        <f t="shared" si="13"/>
        <v>62.17696120689655</v>
      </c>
      <c r="N13" s="22">
        <f t="shared" si="13"/>
        <v>45.38489978448276</v>
      </c>
      <c r="O13" s="4"/>
      <c r="Q13" s="4"/>
      <c r="R13" s="10" t="s">
        <v>26</v>
      </c>
      <c r="S13" s="44">
        <f>S12/$S$27*100</f>
        <v>0</v>
      </c>
      <c r="T13" s="22">
        <f aca="true" t="shared" si="14" ref="T13:AD13">T12/$S$27*100</f>
        <v>0</v>
      </c>
      <c r="U13" s="22">
        <f t="shared" si="14"/>
        <v>0</v>
      </c>
      <c r="V13" s="22">
        <f t="shared" si="14"/>
        <v>0</v>
      </c>
      <c r="W13" s="22">
        <f t="shared" si="14"/>
        <v>0</v>
      </c>
      <c r="X13" s="22">
        <f t="shared" si="14"/>
        <v>0</v>
      </c>
      <c r="Y13" s="22">
        <f t="shared" si="14"/>
        <v>0</v>
      </c>
      <c r="Z13" s="22">
        <f t="shared" si="14"/>
        <v>92.36363636363636</v>
      </c>
      <c r="AA13" s="22">
        <f t="shared" si="14"/>
        <v>46.54902397523198</v>
      </c>
      <c r="AB13" s="22">
        <f t="shared" si="14"/>
        <v>92.36363636363636</v>
      </c>
      <c r="AC13" s="22">
        <f t="shared" si="14"/>
        <v>71.04569687516647</v>
      </c>
      <c r="AD13" s="22">
        <f t="shared" si="14"/>
        <v>48.00196277344645</v>
      </c>
      <c r="AE13" s="4"/>
    </row>
    <row r="14" spans="1:30" ht="16.5" thickBot="1" thickTop="1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Q14" s="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ht="15.75" thickTop="1">
      <c r="A15" s="3"/>
      <c r="B15" s="36" t="s">
        <v>27</v>
      </c>
      <c r="C15" s="9">
        <f>IF(SUM($C$28+C4-C6)&lt;$C$29,$C$29,IF(SUM($C$28+C4-C6)&gt;$C$24,$C$24,SUM($C$28+C4-C6)))</f>
        <v>355</v>
      </c>
      <c r="D15" s="20">
        <f aca="true" t="shared" si="15" ref="D15:N15">IF(SUM(C15+D4-D6+C20)&lt;$C$29,$C$29,IF(SUM(C15+D4-D6+C20)&gt;$C$24,$C$24,SUM(C15+D4-D6+C20)))</f>
        <v>355</v>
      </c>
      <c r="E15" s="20">
        <f t="shared" si="15"/>
        <v>355</v>
      </c>
      <c r="F15" s="20">
        <f t="shared" si="15"/>
        <v>355</v>
      </c>
      <c r="G15" s="20">
        <f t="shared" si="15"/>
        <v>350.6879245283019</v>
      </c>
      <c r="H15" s="20">
        <f t="shared" si="15"/>
        <v>355</v>
      </c>
      <c r="I15" s="20">
        <f t="shared" si="15"/>
        <v>355</v>
      </c>
      <c r="J15" s="20">
        <f t="shared" si="15"/>
        <v>355</v>
      </c>
      <c r="K15" s="20">
        <f t="shared" si="15"/>
        <v>355</v>
      </c>
      <c r="L15" s="20">
        <f t="shared" si="15"/>
        <v>355</v>
      </c>
      <c r="M15" s="20">
        <f t="shared" si="15"/>
        <v>355</v>
      </c>
      <c r="N15" s="29">
        <f t="shared" si="15"/>
        <v>346</v>
      </c>
      <c r="O15" s="4"/>
      <c r="Q15" s="3"/>
      <c r="R15" s="36" t="s">
        <v>27</v>
      </c>
      <c r="S15" s="9">
        <f>IF(SUM($S$29+S4-S6)&lt;$S$30,$S$30,IF(SUM($S$29+S4-S6)&gt;$S$25,$S$25,SUM($S$29+S4-S6)))</f>
        <v>192.9</v>
      </c>
      <c r="T15" s="20">
        <f aca="true" t="shared" si="16" ref="T15:AD15">IF(SUM(S15+T4-T6+S21)&lt;$S$30,$S$30,IF(SUM(S15+T4-T6+S21)&gt;$S$25,$S$25,SUM(S15+T4-T6+S21)))</f>
        <v>192.9</v>
      </c>
      <c r="U15" s="20">
        <f t="shared" si="16"/>
        <v>192.9</v>
      </c>
      <c r="V15" s="20">
        <f t="shared" si="16"/>
        <v>192.9</v>
      </c>
      <c r="W15" s="20">
        <f t="shared" si="16"/>
        <v>192.9</v>
      </c>
      <c r="X15" s="20">
        <f t="shared" si="16"/>
        <v>321.9</v>
      </c>
      <c r="Y15" s="20">
        <f t="shared" si="16"/>
        <v>311.9</v>
      </c>
      <c r="Z15" s="20">
        <f t="shared" si="16"/>
        <v>480</v>
      </c>
      <c r="AA15" s="20">
        <f t="shared" si="16"/>
        <v>480</v>
      </c>
      <c r="AB15" s="20">
        <f t="shared" si="16"/>
        <v>480</v>
      </c>
      <c r="AC15" s="20">
        <f t="shared" si="16"/>
        <v>480</v>
      </c>
      <c r="AD15" s="29">
        <f t="shared" si="16"/>
        <v>480</v>
      </c>
      <c r="AE15" s="4"/>
    </row>
    <row r="16" spans="1:31" ht="15">
      <c r="A16" s="4"/>
      <c r="B16" s="10" t="s">
        <v>28</v>
      </c>
      <c r="C16" s="12">
        <f>IF(SUM(C4+$C$28-C6)&gt;$C$29,0,SUM(C6+C15-C4-$C$28))</f>
        <v>0</v>
      </c>
      <c r="D16" s="21">
        <f aca="true" t="shared" si="17" ref="D16:N16">IF(SUM(D4+C15+C20-D6)&gt;$C$29,0,SUM(D6+D15-D4-C20-C15))</f>
        <v>0</v>
      </c>
      <c r="E16" s="21">
        <f t="shared" si="17"/>
        <v>0</v>
      </c>
      <c r="F16" s="21">
        <f t="shared" si="17"/>
        <v>0</v>
      </c>
      <c r="G16" s="21">
        <f t="shared" si="17"/>
        <v>0</v>
      </c>
      <c r="H16" s="21">
        <f t="shared" si="17"/>
        <v>0</v>
      </c>
      <c r="I16" s="21">
        <f t="shared" si="17"/>
        <v>0</v>
      </c>
      <c r="J16" s="21">
        <f t="shared" si="17"/>
        <v>0</v>
      </c>
      <c r="K16" s="21">
        <f t="shared" si="17"/>
        <v>0</v>
      </c>
      <c r="L16" s="21">
        <f t="shared" si="17"/>
        <v>0</v>
      </c>
      <c r="M16" s="21">
        <f t="shared" si="17"/>
        <v>0</v>
      </c>
      <c r="N16" s="21">
        <f t="shared" si="17"/>
        <v>0</v>
      </c>
      <c r="O16" s="4"/>
      <c r="Q16" s="4"/>
      <c r="R16" s="10" t="s">
        <v>28</v>
      </c>
      <c r="S16" s="12">
        <f>IF(SUM(S4+$S$29-S6)&gt;$S$30,0,SUM(S6+S15-S4-$S$29))</f>
        <v>36.89999999999998</v>
      </c>
      <c r="T16" s="21">
        <f aca="true" t="shared" si="18" ref="T16:AD16">IF(SUM(T4+S15+S21-T6)&gt;$S$30,0,SUM(T6+T15-T4-S21-S15))</f>
        <v>82.99999999999997</v>
      </c>
      <c r="U16" s="21">
        <f t="shared" si="18"/>
        <v>30.99999999999997</v>
      </c>
      <c r="V16" s="21">
        <f t="shared" si="18"/>
        <v>60.99999999999997</v>
      </c>
      <c r="W16" s="21">
        <f t="shared" si="18"/>
        <v>48.99999999999997</v>
      </c>
      <c r="X16" s="21">
        <f t="shared" si="18"/>
        <v>0</v>
      </c>
      <c r="Y16" s="21">
        <f t="shared" si="18"/>
        <v>0</v>
      </c>
      <c r="Z16" s="21">
        <f t="shared" si="18"/>
        <v>0</v>
      </c>
      <c r="AA16" s="21">
        <f t="shared" si="18"/>
        <v>0</v>
      </c>
      <c r="AB16" s="21">
        <f t="shared" si="18"/>
        <v>0</v>
      </c>
      <c r="AC16" s="21">
        <f t="shared" si="18"/>
        <v>0</v>
      </c>
      <c r="AD16" s="21">
        <f t="shared" si="18"/>
        <v>0</v>
      </c>
      <c r="AE16" s="4"/>
    </row>
    <row r="17" spans="1:31" ht="15">
      <c r="A17" s="5" t="s">
        <v>29</v>
      </c>
      <c r="B17" s="10" t="s">
        <v>22</v>
      </c>
      <c r="C17" s="16">
        <f>IF(SUM(C4+C5-C6+$C$28-$C$24)&gt;0,SUM(C4+C5-C6+$C$28-$C$24),0)</f>
        <v>19</v>
      </c>
      <c r="D17" s="23">
        <f aca="true" t="shared" si="19" ref="D17:N17">IF(SUM(C20+D4+D5-D6+C7-$C$24)&gt;0,SUM(C20+D4+D5-D6+C7-$C$24),0)</f>
        <v>50</v>
      </c>
      <c r="E17" s="23">
        <f t="shared" si="19"/>
        <v>39</v>
      </c>
      <c r="F17" s="23">
        <f t="shared" si="19"/>
        <v>113</v>
      </c>
      <c r="G17" s="23">
        <f t="shared" si="19"/>
        <v>0</v>
      </c>
      <c r="H17" s="23">
        <f t="shared" si="19"/>
        <v>129</v>
      </c>
      <c r="I17" s="23">
        <f t="shared" si="19"/>
        <v>53.505245283018894</v>
      </c>
      <c r="J17" s="23">
        <f t="shared" si="19"/>
        <v>277</v>
      </c>
      <c r="K17" s="23">
        <f t="shared" si="19"/>
        <v>129.75283018867924</v>
      </c>
      <c r="L17" s="23">
        <f t="shared" si="19"/>
        <v>163.8407547169811</v>
      </c>
      <c r="M17" s="23">
        <f t="shared" si="19"/>
        <v>63.59358490566035</v>
      </c>
      <c r="N17" s="23">
        <f t="shared" si="19"/>
        <v>0</v>
      </c>
      <c r="O17" s="4"/>
      <c r="Q17" s="5" t="s">
        <v>29</v>
      </c>
      <c r="R17" s="10" t="s">
        <v>30</v>
      </c>
      <c r="S17" s="16">
        <f aca="true" t="shared" si="20" ref="S17:AD17">SUM(C18:C19)*$C$23/$S$24</f>
        <v>0</v>
      </c>
      <c r="T17" s="23">
        <f t="shared" si="20"/>
        <v>8.221019613250146</v>
      </c>
      <c r="U17" s="23">
        <f t="shared" si="20"/>
        <v>5.2066457550584255</v>
      </c>
      <c r="V17" s="23">
        <f t="shared" si="20"/>
        <v>18.719830409155147</v>
      </c>
      <c r="W17" s="23">
        <f t="shared" si="20"/>
        <v>0</v>
      </c>
      <c r="X17" s="23">
        <f t="shared" si="20"/>
        <v>17.947788769776977</v>
      </c>
      <c r="Y17" s="23">
        <f t="shared" si="20"/>
        <v>9.18157595394851</v>
      </c>
      <c r="Z17" s="23">
        <f t="shared" si="20"/>
        <v>25.00482575574782</v>
      </c>
      <c r="AA17" s="23">
        <f t="shared" si="20"/>
        <v>19.432318775636826</v>
      </c>
      <c r="AB17" s="23">
        <f t="shared" si="20"/>
        <v>20.34624797490607</v>
      </c>
      <c r="AC17" s="23">
        <f t="shared" si="20"/>
        <v>11.946123884043976</v>
      </c>
      <c r="AD17" s="23">
        <f t="shared" si="20"/>
        <v>0</v>
      </c>
      <c r="AE17" s="4"/>
    </row>
    <row r="18" spans="1:31" ht="15">
      <c r="A18" s="4"/>
      <c r="B18" s="10" t="s">
        <v>31</v>
      </c>
      <c r="C18" s="16">
        <f>IF(C17&gt;$C$25,IF(C17&gt;($C$25+$I$30*2592/$C$23),($I$30*2592/$C$23),(C17-$C$25)),0)</f>
        <v>0</v>
      </c>
      <c r="D18" s="23">
        <f>IF(D17&gt;$C$25,IF(D17&gt;($C$25+$I$30*2678.4/$C$23),($I$30*2678.4/$C$23),(D17-$C$25)),0)</f>
        <v>30</v>
      </c>
      <c r="E18" s="23">
        <f>IF(E17&gt;$C25,IF(E17&gt;($C25+$I30*2592/$C23),($I30*2592/$C23),(E17-$C25)),0)</f>
        <v>19</v>
      </c>
      <c r="F18" s="23">
        <f>IF(F17&gt;$C$25,IF(F17&gt;($C$25+$I$30*2678.4/$C$23),($I$30*2678.4/$C$23),(F17-$C$25)),0)</f>
        <v>64.01207547169811</v>
      </c>
      <c r="G18" s="23">
        <f>IF(G17&gt;$C$25,IF(G17&gt;($C$25+$I$30*2678.4/$C$23),($I$30*2678.4/$C$23),(G17-$C$25)),0)</f>
        <v>0</v>
      </c>
      <c r="H18" s="23">
        <f>IF(H17&gt;$C$25,IF(H17&gt;($C$25+$I$30*2419.2/$C$23),($I$30*2419.2/$C$23),(H17-$C$25)),0)</f>
        <v>57.81735849056603</v>
      </c>
      <c r="I18" s="23">
        <f>IF(I17&gt;$C$25,IF(I17&gt;($C$25+$I$30*2678.4/$C$23),($I$30*2678.4/$C$23),(I17-$C$25)),0)</f>
        <v>33.505245283018894</v>
      </c>
      <c r="J18" s="23">
        <f>IF(J17&gt;$C25,IF(J17&gt;($C25+$I30*2592/$C23),($I30*2592/$C23),(J17-$C25)),0)</f>
        <v>61.947169811320755</v>
      </c>
      <c r="K18" s="23">
        <f>IF(K17&gt;$C$25,IF(K17&gt;($C$25+$I$30*2678.4/$C$23),($I$30*2678.4/$C$23),(K17-$C$25)),0)</f>
        <v>64.01207547169811</v>
      </c>
      <c r="L18" s="23">
        <f>IF(L17&gt;$C25,IF(L17&gt;($C25+$I30*2592/$C23),($I30*2592/$C23),(L17-$C25)),0)</f>
        <v>61.947169811320755</v>
      </c>
      <c r="M18" s="23">
        <f>IF(M17&gt;$C$25,IF(M17&gt;($C$25+$I$30*2678.4/$C$23),($I$30*2678.4/$C$23),(M17-$C$25)),0)</f>
        <v>43.59358490566035</v>
      </c>
      <c r="N18" s="23">
        <f>IF(N17&gt;$C$25,IF(N17&gt;($C$25+$I$30*2678.4/$C$23),($I$30*2678.4/$C$23),(N17-$C$25)),0)</f>
        <v>0</v>
      </c>
      <c r="O18" s="4"/>
      <c r="Q18" s="4"/>
      <c r="R18" s="10" t="s">
        <v>22</v>
      </c>
      <c r="S18" s="16">
        <f>IF(SUM(S4+S17-S6+$S$29-$S$25)&gt;0,SUM(S4+S17-S6+$S$29-$S$25),0)</f>
        <v>0</v>
      </c>
      <c r="T18" s="23">
        <f aca="true" t="shared" si="21" ref="T18:AD18">IF(SUM(S21+T4+T17-T6+S7-$S$25)&gt;0,SUM(S21+T4+T17-T6+S7-$S$25),0)</f>
        <v>0</v>
      </c>
      <c r="U18" s="23">
        <f t="shared" si="21"/>
        <v>0</v>
      </c>
      <c r="V18" s="23">
        <f t="shared" si="21"/>
        <v>0</v>
      </c>
      <c r="W18" s="23">
        <f t="shared" si="21"/>
        <v>0</v>
      </c>
      <c r="X18" s="23">
        <f t="shared" si="21"/>
        <v>0</v>
      </c>
      <c r="Y18" s="23">
        <f t="shared" si="21"/>
        <v>0</v>
      </c>
      <c r="Z18" s="23">
        <f t="shared" si="21"/>
        <v>113.90482575574788</v>
      </c>
      <c r="AA18" s="23">
        <f t="shared" si="21"/>
        <v>33.29682534211156</v>
      </c>
      <c r="AB18" s="23">
        <f t="shared" si="21"/>
        <v>158.64307331701764</v>
      </c>
      <c r="AC18" s="23">
        <f t="shared" si="21"/>
        <v>55.810630450518715</v>
      </c>
      <c r="AD18" s="23">
        <f t="shared" si="21"/>
        <v>11</v>
      </c>
      <c r="AE18" s="4"/>
    </row>
    <row r="19" spans="1:31" ht="15">
      <c r="A19" s="4"/>
      <c r="B19" s="10" t="s">
        <v>32</v>
      </c>
      <c r="C19" s="16">
        <f>ROUND(IF(C17&gt;($C$25+$I$30*2592/$C$23),IF(C17&lt;$C$26,(C17-$C$25-$I$30*2592/$C$23)*$C$27,($C$26-$C$25-$I$30*2592/$C$23)*$C$27+(C17-$C$26)),0),1)</f>
        <v>0</v>
      </c>
      <c r="D19" s="23">
        <f>ROUND(IF(D17&gt;($C$25+$I$30*2678.4/$C$23),IF(D17&lt;$C$26,(D17-$C$25-$I$30*2678.4/$C$23)*$C$27,($C$26-$C$25-$I$30*2678.4/$C$23)*$C$27+(D17-$C$26)),0),1)</f>
        <v>0</v>
      </c>
      <c r="E19" s="23">
        <f>ROUND(IF(E17&gt;($C$25+$I$30*2592/$C$23),IF(E17&lt;$C$26,(E17-$C$25-$I$30*2592/$C$23)*$C$27,($C$26-$C$25-$I$30*2592/$C$23)*$C$27+(E17-$C$26)),0),1)</f>
        <v>0</v>
      </c>
      <c r="F19" s="23">
        <f>ROUND(IF(F17&gt;($C$25+$I$30*2678.4/$C$23),IF(F17&lt;$C$26,(F17-$C$25-$I$30*2678.4/$C$23)*$C$27,($C$26-$C$25-$I$30*2678.4/$C$23)*$C$27+(F17-$C$26)),0),1)</f>
        <v>4.3</v>
      </c>
      <c r="G19" s="23">
        <f>ROUND(IF(G17&gt;($C$25+$I$30*2678.4/$C$23),IF(G17&lt;$C$26,(G17-$C$25-$I$30*2678.4/$C$23)*$C$27,(G17-$C$25-$I$30*2678.4/$C$23)*$C$27+(G17-$C$26)),0),1)</f>
        <v>0</v>
      </c>
      <c r="H19" s="23">
        <f>IF(H17&gt;($C$25+$I$30*2419.2/$C$23),IF(H17&lt;$C$26,(H17-$C$25-$I$30*2419.2/$C$23)*$C$27,($C$26-$C$25-$I$30*2419.2/$C$23)*$C$27+(H17-$C$26)),0)</f>
        <v>7.6773962264150954</v>
      </c>
      <c r="I19" s="23">
        <f>ROUND(IF(I17&gt;($C$25+$I$30*2678.4/$C$23),IF(I17&lt;$C$26,(I17-$C$25-$I$30*2678.4/$C$23)*$C$27,($C$26-$C$25-$I$30*2678.4/$C$23)*$C$27+(I17-$C$26)),0),1)</f>
        <v>0</v>
      </c>
      <c r="J19" s="23">
        <f>ROUND(IF(J17&gt;($C$25+$I$30*2592/$C$23),IF(J17&lt;$C$26,(J17-$C$25-$I$30*2592/$C$23)*$C$27,($C$26-$C$25-$I$30*2592/$C$23)*$C$27+(J17-$C$26)),0),1)</f>
        <v>29.3</v>
      </c>
      <c r="K19" s="23">
        <f>ROUND(IF(K17&gt;($C$25+$I$30*2678.4/$C$23),IF(K17&lt;$C$26,(K17-$C$25-$I$30*2678.4/$C$23)*$C$27,($C$26-$C$25-$I$30*2678.4/$C$23)*$C$27+(K17-$C$26)),0),1)</f>
        <v>6.9</v>
      </c>
      <c r="L19" s="23">
        <f>ROUND(IF(L17&gt;($C$25+$I$30*2592/$C$23),IF(L17&lt;$C$26,(L17-$C$25-$I$30*2592/$C$23)*$C$27,($C$26-$C$25-$I$30*2592/$C$23)*$C$27+(L17-$C$26)),0),1)</f>
        <v>12.3</v>
      </c>
      <c r="M19" s="23">
        <f>ROUND(IF(M17&gt;($C$25+$I$30*2678.4/$C$23),IF(M17&lt;$C$26,(M17-$C$25-$I$30*2678.4/$C$23)*$C$27,($C$26-$C$25-$I$30*2678.4/$C$23)*$C$27+(M17-$C$26)),0),1)</f>
        <v>0</v>
      </c>
      <c r="N19" s="23">
        <f>ROUND(IF(N17&gt;($C$25+$I$30*2678.4/$C$23),IF(N17&lt;$C$26,(N17-$C$25-$I$30*2678.4/$C$23)*$C$27,($C$26-$C$25-$I$30*2678.4/$C$23)*$C$27+(N17-$C$26)),0),1)</f>
        <v>0</v>
      </c>
      <c r="O19" s="4"/>
      <c r="Q19" s="4"/>
      <c r="R19" s="10" t="s">
        <v>31</v>
      </c>
      <c r="S19" s="16">
        <f>IF(S18&gt;$S$26,IF(S18&gt;($S$26+$Y$31*2592/$S$24),($Y$31*2592/$S$24),(S18-$S$26)),0)</f>
        <v>0</v>
      </c>
      <c r="T19" s="23">
        <f>IF(T18&gt;$S$26,IF(T18&gt;($S$26+$Y$31*2678.4/$S$24),($Y$31*2678.4/$S$24),(T18-$S$26)),0)</f>
        <v>0</v>
      </c>
      <c r="U19" s="23">
        <f>IF(U18&gt;$S$26,IF(U18&gt;($S$26+$Y$31*2592/$S$24),($Y$31*2592/$S$24),(U18-$S$26)),0)</f>
        <v>0</v>
      </c>
      <c r="V19" s="23">
        <f>IF(V18&gt;$S$26,IF(V18&gt;($S$26+$Y$31*2678.4/$S$24),($Y$31*2678.4/$S$24),(V18-$S$26)),0)</f>
        <v>0</v>
      </c>
      <c r="W19" s="23">
        <f>IF(W18&gt;$S$26,IF(W18&gt;($S$26+$Y$31*2678.4/$S$24),($Y$31*2678.4/$S$24),(W18-$S$26)),0)</f>
        <v>0</v>
      </c>
      <c r="X19" s="23">
        <f>IF(X18&gt;$S$26,IF(X18&gt;($S$26+$Y$31*2419.2/$S$24),($Y$31*2419.2/$S$24),(X18-$S$26)),0)</f>
        <v>0</v>
      </c>
      <c r="Y19" s="23">
        <f>IF(Y18&gt;$S$26,IF(Y18&gt;($S$26+$Y$31*2678.4/$S$24),($Y$31*2678.4/$S$24),(Y18-$S$26)),0)</f>
        <v>0</v>
      </c>
      <c r="Z19" s="23">
        <f>IF(Z18&gt;$S$26,IF(Z18&gt;($S$26+$Y$31*2592/$S$24),($Y$31*2592/$S$24),(Z18-$S$26)),0)</f>
        <v>35.73816828099686</v>
      </c>
      <c r="AA19" s="23">
        <f>IF(AA18&gt;$S$26,IF(AA18&gt;($S$26+$Y$31*2678.4/$S$24),($Y$31*2678.4/$S$24),(AA18-$S$26)),0)</f>
        <v>0</v>
      </c>
      <c r="AB19" s="23">
        <f>IF(AB18&gt;$S$26,IF(AB18&gt;($S$26+$Y$31*2592/$S$24),($Y$31*2592/$S$24),(AB18-$S$26)),0)</f>
        <v>35.73816828099686</v>
      </c>
      <c r="AC19" s="23">
        <f>IF(AC18&gt;$S$26,IF(AC18&gt;($S$26+$Y$31*2678.4/$S$24),($Y$31*2678.4/$S$24),(AC18-$S$26)),0)</f>
        <v>15.810630450518715</v>
      </c>
      <c r="AD19" s="23">
        <f>IF(AD18&gt;$S$26,IF(AD18&gt;($S$26+$Y$31*2678.4/$S$24),($Y$31*2678.4/$S$24),(AD18-$S$26)),0)</f>
        <v>0</v>
      </c>
      <c r="AE19" s="32">
        <v>109.4688</v>
      </c>
    </row>
    <row r="20" spans="1:31" ht="15">
      <c r="A20" s="5" t="s">
        <v>33</v>
      </c>
      <c r="B20" s="10" t="s">
        <v>25</v>
      </c>
      <c r="C20" s="16">
        <f aca="true" t="shared" si="22" ref="C20:N20">C17-C18-C19</f>
        <v>19</v>
      </c>
      <c r="D20" s="23">
        <f t="shared" si="22"/>
        <v>20</v>
      </c>
      <c r="E20" s="23">
        <f t="shared" si="22"/>
        <v>20</v>
      </c>
      <c r="F20" s="23">
        <f t="shared" si="22"/>
        <v>44.68792452830189</v>
      </c>
      <c r="G20" s="23">
        <f t="shared" si="22"/>
        <v>0</v>
      </c>
      <c r="H20" s="23">
        <f t="shared" si="22"/>
        <v>63.50524528301888</v>
      </c>
      <c r="I20" s="23">
        <f t="shared" si="22"/>
        <v>20</v>
      </c>
      <c r="J20" s="23">
        <f t="shared" si="22"/>
        <v>185.75283018867924</v>
      </c>
      <c r="K20" s="23">
        <f t="shared" si="22"/>
        <v>58.84075471698113</v>
      </c>
      <c r="L20" s="23">
        <f t="shared" si="22"/>
        <v>89.59358490566036</v>
      </c>
      <c r="M20" s="23">
        <f t="shared" si="22"/>
        <v>20</v>
      </c>
      <c r="N20" s="23">
        <f t="shared" si="22"/>
        <v>0</v>
      </c>
      <c r="O20" s="4"/>
      <c r="Q20" s="5" t="s">
        <v>33</v>
      </c>
      <c r="R20" s="10" t="s">
        <v>32</v>
      </c>
      <c r="S20" s="16">
        <f>IF(S18&gt;($S$26+$Y$31*2592/$S$24),IF(S18&lt;$S$27,(S18-$S$26-$Y$31*2592/$S$24)*$S$28,($S$27-$S$26-$Y$31*2592/$S$24)*$S$28+(S18-$S$27)),0)</f>
        <v>0</v>
      </c>
      <c r="T20" s="23">
        <f>IF(T18&gt;($S$26+$Y$31*2678.4/$S$24),IF(T18&lt;$S$27,(T18-$S$26-$Y$31*2678.4/$S$24)*$S$28,($S$27-$S$26-$Y$31*2678.4/$S$24)*$S$28+(T18-$S$27)),0)</f>
        <v>0</v>
      </c>
      <c r="U20" s="23">
        <f>IF(U18&gt;($S$26+$Y$31*2419.2/$S$24),IF(U18&lt;$S$27,(U18-$S$26-$Y$31*2419.2/$S$24)*$S$28,($S$27-$S$26-$Y$31*2419.2/$S$24)*$S$28+(U18-$S$27)),0)</f>
        <v>0</v>
      </c>
      <c r="V20" s="23">
        <f>IF(V18&gt;($S$26+$Y$31*2678.4/$S$24),IF(V18&lt;$S$27,(V18-$S$26-$Y$31*2678.4/$S$24)*$S$28,($S$27-$S$26-$Y$31*2678.4/$S$24)*$S$28+(V18-$S$27)),0)</f>
        <v>0</v>
      </c>
      <c r="W20" s="23">
        <f>IF(W18&gt;($S$26+$Y$31*2678.4/$S$24),IF(W18&lt;$S$27,(W18-$S$26-$Y$31*2678.4/$S$24)*$S$28,($S$27-$S$26-$Y$31*2678.4/$S$24)*$S$28+(W18-$S$27)),0)</f>
        <v>0</v>
      </c>
      <c r="X20" s="23">
        <f>IF(X18&gt;($S$26+$Y$31*2419.2/$S$24),IF(X18&lt;$S$27,(X18-$S$26-$Y$31*2419.2/$S$24)*$S$28,(X18-$S$26-$Y$31*2419.2/$S$24)*$S$28+(X18-$S$27)),0)</f>
        <v>0</v>
      </c>
      <c r="Y20" s="23">
        <f>IF(Y18&gt;($S$26+$Y$31*2678.4/$S$24),IF(Y18&lt;$S$27,(Y18-$S$26-$Y$31*2678.4/$S$24)*$S$28,($S$27-$S$26-$Y$31*2678.4/$S$24)*$S$28+(Y18-$S$27)),0)</f>
        <v>0</v>
      </c>
      <c r="Z20" s="23">
        <f>IF(Z18&gt;($S$26+$Y$31*2419.2/$S$24),IF(Z18&lt;$S$27,(Z18-$S$26-$Y$31*2419.2/$S$24)*$S$28,($S$27-$S$26-$Y$31*2419.2/$S$24)*$S$28+(Z18-$S$27)),0)</f>
        <v>8.30215090827623</v>
      </c>
      <c r="AA20" s="23">
        <f>IF(AA18&gt;($S$26+$Y$31*2678.4/$S$24),IF(AA18&lt;$S$27,(AA18-$S$26-$Y$31*2678.4/$S$24)*$S$28,($S$27-$S$26-$Y$31*2678.4/$S$24)*$S$28+(AA18-$S$27)),0)</f>
        <v>0</v>
      </c>
      <c r="AB20" s="23">
        <f>IF(AB18&gt;($S$26+$Y$31*2419.2/$S$24),IF(AB18&lt;$S$27,(AB18-$S$26-$Y$31*2419.2/$S$24)*$S$28,($S$27-$S$26-$Y$31*2419.2/$S$24)*$S$28+(AB18-$S$27)),0)</f>
        <v>53.04039846954599</v>
      </c>
      <c r="AC20" s="23">
        <f>IF(AC18&gt;($S$26+$Y$31*2678.4/$S$24),IF(AC18&lt;$S$27,(AC18-$S$26-$Y$31*2678.4/$S$24)*$S$28,($S$27-$S$26-$Y$31*2678.4/$S$24)*$S$28+(AC18-$S$27)),0)</f>
        <v>0</v>
      </c>
      <c r="AD20" s="23">
        <f>IF(AD18&gt;($S$26+$Y$31*2678.4/$S$24),IF(AD18&lt;$S$27,(AD18-$S$26-$Y$31*2678.4/$S$24)*$S$28,($S$27-$S$26-$Y$31*2678.4/$S$24)*$S$28+(AD18-$S$27)),0)</f>
        <v>0</v>
      </c>
      <c r="AE20" s="32">
        <v>54.31474267719717</v>
      </c>
    </row>
    <row r="21" spans="1:31" ht="15.75" thickBot="1">
      <c r="A21" s="4"/>
      <c r="B21" s="10" t="s">
        <v>26</v>
      </c>
      <c r="C21" s="44">
        <f>C20/$C$26*100</f>
        <v>6.551724137931035</v>
      </c>
      <c r="D21" s="44">
        <f aca="true" t="shared" si="23" ref="D21:N21">D20/$C$26*100</f>
        <v>6.896551724137931</v>
      </c>
      <c r="E21" s="44">
        <f t="shared" si="23"/>
        <v>6.896551724137931</v>
      </c>
      <c r="F21" s="44">
        <f t="shared" si="23"/>
        <v>15.409629147690307</v>
      </c>
      <c r="G21" s="44">
        <f t="shared" si="23"/>
        <v>0</v>
      </c>
      <c r="H21" s="44">
        <f t="shared" si="23"/>
        <v>21.8983604424203</v>
      </c>
      <c r="I21" s="44">
        <f t="shared" si="23"/>
        <v>6.896551724137931</v>
      </c>
      <c r="J21" s="44">
        <f t="shared" si="23"/>
        <v>64.05270006506181</v>
      </c>
      <c r="K21" s="44">
        <f t="shared" si="23"/>
        <v>20.289915419648665</v>
      </c>
      <c r="L21" s="44">
        <f t="shared" si="23"/>
        <v>30.894339622641503</v>
      </c>
      <c r="M21" s="44">
        <f t="shared" si="23"/>
        <v>6.896551724137931</v>
      </c>
      <c r="N21" s="44">
        <f t="shared" si="23"/>
        <v>0</v>
      </c>
      <c r="O21" s="4"/>
      <c r="Q21" s="4"/>
      <c r="R21" s="10" t="s">
        <v>25</v>
      </c>
      <c r="S21" s="16">
        <f aca="true" t="shared" si="24" ref="S21:AD21">S18-S19-S20</f>
        <v>0</v>
      </c>
      <c r="T21" s="23">
        <f t="shared" si="24"/>
        <v>0</v>
      </c>
      <c r="U21" s="23">
        <f t="shared" si="24"/>
        <v>0</v>
      </c>
      <c r="V21" s="23">
        <f t="shared" si="24"/>
        <v>0</v>
      </c>
      <c r="W21" s="23">
        <f t="shared" si="24"/>
        <v>0</v>
      </c>
      <c r="X21" s="23">
        <f t="shared" si="24"/>
        <v>0</v>
      </c>
      <c r="Y21" s="23">
        <f t="shared" si="24"/>
        <v>0</v>
      </c>
      <c r="Z21" s="23">
        <f t="shared" si="24"/>
        <v>69.86450656647479</v>
      </c>
      <c r="AA21" s="23">
        <f t="shared" si="24"/>
        <v>33.29682534211156</v>
      </c>
      <c r="AB21" s="23">
        <f t="shared" si="24"/>
        <v>69.86450656647479</v>
      </c>
      <c r="AC21" s="23">
        <f t="shared" si="24"/>
        <v>40</v>
      </c>
      <c r="AD21" s="23">
        <f t="shared" si="24"/>
        <v>11</v>
      </c>
      <c r="AE21" s="32">
        <f>SUM(AE19:AE20)</f>
        <v>163.78354267719718</v>
      </c>
    </row>
    <row r="22" spans="1:31" ht="16.5" thickBot="1" thickTop="1">
      <c r="A22" s="6"/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Q22" s="4"/>
      <c r="R22" s="10" t="s">
        <v>26</v>
      </c>
      <c r="S22" s="44">
        <f aca="true" t="shared" si="25" ref="S22:AD22">S21/$S$27*100</f>
        <v>0</v>
      </c>
      <c r="T22" s="22">
        <f t="shared" si="25"/>
        <v>0</v>
      </c>
      <c r="U22" s="22">
        <f t="shared" si="25"/>
        <v>0</v>
      </c>
      <c r="V22" s="22">
        <f t="shared" si="25"/>
        <v>0</v>
      </c>
      <c r="W22" s="22">
        <f t="shared" si="25"/>
        <v>0</v>
      </c>
      <c r="X22" s="22">
        <f t="shared" si="25"/>
        <v>0</v>
      </c>
      <c r="Y22" s="22">
        <f t="shared" si="25"/>
        <v>0</v>
      </c>
      <c r="Z22" s="22">
        <f t="shared" si="25"/>
        <v>63.513187787704354</v>
      </c>
      <c r="AA22" s="22">
        <f t="shared" si="25"/>
        <v>30.26984122010142</v>
      </c>
      <c r="AB22" s="22">
        <f t="shared" si="25"/>
        <v>63.513187787704354</v>
      </c>
      <c r="AC22" s="22">
        <f t="shared" si="25"/>
        <v>36.36363636363637</v>
      </c>
      <c r="AD22" s="22">
        <f t="shared" si="25"/>
        <v>10</v>
      </c>
      <c r="AE22" s="4"/>
    </row>
    <row r="23" spans="2:30" ht="16.5" thickBot="1" thickTop="1">
      <c r="B23" s="36" t="s">
        <v>34</v>
      </c>
      <c r="C23" s="18">
        <v>159</v>
      </c>
      <c r="D23" s="4"/>
      <c r="E23" s="7" t="s">
        <v>35</v>
      </c>
      <c r="F23" s="6"/>
      <c r="G23" s="6"/>
      <c r="H23" s="6"/>
      <c r="I23" s="6"/>
      <c r="J23" s="27" t="s">
        <v>36</v>
      </c>
      <c r="K23" s="6"/>
      <c r="L23" s="6"/>
      <c r="M23" s="6"/>
      <c r="N23" s="6"/>
      <c r="O23" s="4"/>
      <c r="Q23" s="6"/>
      <c r="R23" s="1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1" ht="15.75" thickTop="1">
      <c r="B24" s="10" t="s">
        <v>37</v>
      </c>
      <c r="C24" s="19">
        <v>355</v>
      </c>
      <c r="D24" s="4"/>
      <c r="E24" s="4" t="s">
        <v>38</v>
      </c>
      <c r="J24" s="37" t="s">
        <v>39</v>
      </c>
      <c r="O24" s="4"/>
      <c r="R24" s="36" t="s">
        <v>34</v>
      </c>
      <c r="S24" s="18">
        <v>580.22</v>
      </c>
      <c r="T24" s="4"/>
      <c r="U24" s="7" t="s">
        <v>35</v>
      </c>
      <c r="V24" s="6"/>
      <c r="W24" s="6"/>
      <c r="X24" s="6"/>
      <c r="Y24" s="6"/>
      <c r="Z24" s="27" t="s">
        <v>36</v>
      </c>
      <c r="AA24" s="6"/>
      <c r="AB24" s="6"/>
      <c r="AC24" s="6"/>
      <c r="AD24" s="6"/>
      <c r="AE24" s="4"/>
    </row>
    <row r="25" spans="2:31" ht="15">
      <c r="B25" s="8" t="s">
        <v>40</v>
      </c>
      <c r="C25" s="19">
        <v>20</v>
      </c>
      <c r="D25" s="4"/>
      <c r="E25" s="4" t="s">
        <v>41</v>
      </c>
      <c r="J25" s="28"/>
      <c r="O25" s="4"/>
      <c r="R25" s="10" t="s">
        <v>37</v>
      </c>
      <c r="S25" s="19">
        <v>480</v>
      </c>
      <c r="T25" s="4"/>
      <c r="U25" s="4" t="s">
        <v>38</v>
      </c>
      <c r="Z25" s="37" t="s">
        <v>39</v>
      </c>
      <c r="AE25" s="4"/>
    </row>
    <row r="26" spans="2:31" ht="15">
      <c r="B26" s="8" t="s">
        <v>42</v>
      </c>
      <c r="C26" s="19">
        <v>290</v>
      </c>
      <c r="D26" s="4"/>
      <c r="E26" s="4" t="s">
        <v>43</v>
      </c>
      <c r="J26" s="25" t="s">
        <v>44</v>
      </c>
      <c r="K26" s="13"/>
      <c r="L26" s="13"/>
      <c r="M26" s="13" t="s">
        <v>45</v>
      </c>
      <c r="N26" s="13"/>
      <c r="O26" s="4"/>
      <c r="R26" s="8" t="s">
        <v>40</v>
      </c>
      <c r="S26" s="19">
        <v>40</v>
      </c>
      <c r="T26" s="4"/>
      <c r="U26" s="4" t="s">
        <v>41</v>
      </c>
      <c r="Z26" s="28"/>
      <c r="AE26" s="4"/>
    </row>
    <row r="27" spans="2:31" ht="15">
      <c r="B27" s="8" t="s">
        <v>46</v>
      </c>
      <c r="C27" s="19">
        <v>0.15</v>
      </c>
      <c r="D27" s="4"/>
      <c r="E27" s="4"/>
      <c r="J27" s="28"/>
      <c r="O27" s="4"/>
      <c r="R27" s="8" t="s">
        <v>42</v>
      </c>
      <c r="S27" s="19">
        <v>110</v>
      </c>
      <c r="T27" s="4"/>
      <c r="U27" s="4" t="s">
        <v>43</v>
      </c>
      <c r="Z27" s="25" t="s">
        <v>44</v>
      </c>
      <c r="AA27" s="13"/>
      <c r="AB27" s="13"/>
      <c r="AC27" s="13" t="s">
        <v>45</v>
      </c>
      <c r="AD27" s="13"/>
      <c r="AE27" s="4"/>
    </row>
    <row r="28" spans="2:31" ht="15.75" thickBot="1">
      <c r="B28" s="8" t="s">
        <v>47</v>
      </c>
      <c r="C28" s="19">
        <v>275</v>
      </c>
      <c r="D28" s="4"/>
      <c r="E28" s="4"/>
      <c r="J28" s="28"/>
      <c r="O28" s="4"/>
      <c r="R28" s="8" t="s">
        <v>46</v>
      </c>
      <c r="S28" s="19">
        <v>0.12</v>
      </c>
      <c r="T28" s="4"/>
      <c r="U28" s="4"/>
      <c r="Z28" s="28"/>
      <c r="AE28" s="4"/>
    </row>
    <row r="29" spans="2:31" ht="16.5" thickBot="1" thickTop="1">
      <c r="B29" s="8" t="s">
        <v>48</v>
      </c>
      <c r="C29" s="43">
        <v>192.9</v>
      </c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R29" s="8" t="s">
        <v>47</v>
      </c>
      <c r="S29" s="19">
        <v>220</v>
      </c>
      <c r="T29" s="4"/>
      <c r="U29" s="4"/>
      <c r="Z29" s="28"/>
      <c r="AE29" s="4"/>
    </row>
    <row r="30" spans="1:30" ht="16.5" thickBot="1" thickTop="1">
      <c r="A30" s="7" t="s">
        <v>49</v>
      </c>
      <c r="B30" s="6"/>
      <c r="C30" t="s">
        <v>50</v>
      </c>
      <c r="D30" s="4"/>
      <c r="F30" s="25" t="s">
        <v>51</v>
      </c>
      <c r="G30" s="13"/>
      <c r="H30" s="13"/>
      <c r="I30" s="26">
        <v>3.8</v>
      </c>
      <c r="J30" s="14" t="s">
        <v>52</v>
      </c>
      <c r="K30" s="28"/>
      <c r="R30" s="8" t="s">
        <v>48</v>
      </c>
      <c r="S30" s="43">
        <v>192.9</v>
      </c>
      <c r="T30" s="4"/>
      <c r="U30" s="6"/>
      <c r="V30" s="6"/>
      <c r="W30" s="6"/>
      <c r="X30" s="6"/>
      <c r="Y30" s="35"/>
      <c r="Z30" s="6"/>
      <c r="AA30" s="6"/>
      <c r="AB30" s="6"/>
      <c r="AC30" s="6"/>
      <c r="AD30" s="6"/>
    </row>
    <row r="31" spans="1:27" ht="15.75" thickTop="1">
      <c r="A31" s="8" t="s">
        <v>53</v>
      </c>
      <c r="B31" s="13"/>
      <c r="C31" s="13"/>
      <c r="D31" s="4"/>
      <c r="E31" s="38"/>
      <c r="F31" s="13"/>
      <c r="G31" s="13"/>
      <c r="H31" s="13"/>
      <c r="I31" s="13"/>
      <c r="J31" s="13"/>
      <c r="Q31" s="7" t="s">
        <v>49</v>
      </c>
      <c r="R31" s="6"/>
      <c r="S31" t="s">
        <v>50</v>
      </c>
      <c r="T31" s="4"/>
      <c r="V31" s="25" t="s">
        <v>51</v>
      </c>
      <c r="W31" s="13"/>
      <c r="X31" s="13"/>
      <c r="Y31">
        <v>8</v>
      </c>
      <c r="Z31" s="14" t="s">
        <v>52</v>
      </c>
      <c r="AA31" s="28"/>
    </row>
    <row r="32" spans="1:26" ht="15.75" thickBot="1">
      <c r="A32" s="8" t="s">
        <v>54</v>
      </c>
      <c r="C32" s="42" t="s">
        <v>55</v>
      </c>
      <c r="D32" s="4"/>
      <c r="Q32" s="8" t="s">
        <v>53</v>
      </c>
      <c r="R32" s="13"/>
      <c r="S32" s="13"/>
      <c r="T32" s="4"/>
      <c r="V32" s="13"/>
      <c r="W32" s="13"/>
      <c r="X32" s="13"/>
      <c r="Y32" s="13"/>
      <c r="Z32" s="13"/>
    </row>
    <row r="33" spans="1:20" ht="16.5" thickBot="1" thickTop="1">
      <c r="A33" s="6"/>
      <c r="B33" s="6"/>
      <c r="C33" s="6"/>
      <c r="Q33" s="8" t="s">
        <v>54</v>
      </c>
      <c r="R33" s="14" t="s">
        <v>55</v>
      </c>
      <c r="S33" s="42" t="s">
        <v>55</v>
      </c>
      <c r="T33" s="4"/>
    </row>
    <row r="34" spans="17:19" ht="15.75" thickTop="1">
      <c r="Q34" s="6"/>
      <c r="R34" s="6"/>
      <c r="S34" s="6"/>
    </row>
  </sheetData>
  <printOptions gridLines="1"/>
  <pageMargins left="0.66" right="0.5" top="1" bottom="1" header="0.511811024" footer="0.51181102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DEPETTRIS</dc:creator>
  <cp:keywords/>
  <dc:description/>
  <cp:lastModifiedBy>user</cp:lastModifiedBy>
  <cp:lastPrinted>2006-10-10T21:56:10Z</cp:lastPrinted>
  <dcterms:modified xsi:type="dcterms:W3CDTF">2006-10-10T21:56:26Z</dcterms:modified>
  <cp:category/>
  <cp:version/>
  <cp:contentType/>
  <cp:contentStatus/>
</cp:coreProperties>
</file>